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plit &amp; VRF\Systemair\R32\"/>
    </mc:Choice>
  </mc:AlternateContent>
  <workbookProtection workbookAlgorithmName="SHA-512" workbookHashValue="M091Sh+Q62f37qdnq2XIS2M7JEbFIf+HRGeOW10hsyj9bL+TgZSZRMAV5JHYYOsdhKyHHqBdF7ijGYOaXaEGyQ==" workbookSaltValue="nocImrcQT18pyNWN4bZpTQ==" workbookSpinCount="100000" lockStructure="1"/>
  <bookViews>
    <workbookView xWindow="0" yWindow="0" windowWidth="28800" windowHeight="12320"/>
  </bookViews>
  <sheets>
    <sheet name="R32" sheetId="1" r:id="rId1"/>
    <sheet name="Tabelle2" sheetId="2" state="hidden" r:id="rId2"/>
    <sheet name="Tabelle3" sheetId="5" state="hidden" r:id="rId3"/>
    <sheet name="language" sheetId="4" state="hidden" r:id="rId4"/>
  </sheets>
  <definedNames>
    <definedName name="_xlnm.Print_Area" localSheetId="0">'R32'!$A$1:$G$51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" l="1"/>
  <c r="A28" i="4" s="1"/>
  <c r="R10" i="1" s="1"/>
  <c r="A14" i="4" l="1"/>
  <c r="B28" i="1" s="1"/>
  <c r="A25" i="4"/>
  <c r="B45" i="1" s="1"/>
  <c r="A21" i="4"/>
  <c r="B41" i="1" s="1"/>
  <c r="A17" i="4"/>
  <c r="D32" i="1" s="1"/>
  <c r="A12" i="4"/>
  <c r="D25" i="1" s="1"/>
  <c r="A8" i="4"/>
  <c r="C14" i="1" s="1"/>
  <c r="A4" i="4"/>
  <c r="D9" i="1" s="1"/>
  <c r="A27" i="4"/>
  <c r="B48" i="1" s="1"/>
  <c r="A24" i="4"/>
  <c r="B44" i="1" s="1"/>
  <c r="A20" i="4"/>
  <c r="D39" i="1" s="1"/>
  <c r="A16" i="4"/>
  <c r="D31" i="1" s="1"/>
  <c r="A11" i="4"/>
  <c r="D23" i="1" s="1"/>
  <c r="A7" i="4"/>
  <c r="D12" i="1" s="1"/>
  <c r="A3" i="4"/>
  <c r="D7" i="1" s="1"/>
  <c r="A26" i="4"/>
  <c r="B47" i="1" s="1"/>
  <c r="A23" i="4"/>
  <c r="B43" i="1" s="1"/>
  <c r="A19" i="4"/>
  <c r="D38" i="1" s="1"/>
  <c r="A15" i="4"/>
  <c r="D30" i="1" s="1"/>
  <c r="A10" i="4"/>
  <c r="C16" i="1" s="1"/>
  <c r="A6" i="4"/>
  <c r="D11" i="1" s="1"/>
  <c r="A29" i="4"/>
  <c r="R11" i="1" s="1"/>
  <c r="A2" i="4"/>
  <c r="A3" i="1" s="1"/>
  <c r="A22" i="4"/>
  <c r="B42" i="1" s="1"/>
  <c r="A18" i="4"/>
  <c r="B36" i="1" s="1"/>
  <c r="A13" i="4"/>
  <c r="D26" i="1" s="1"/>
  <c r="A9" i="4"/>
  <c r="C15" i="1" s="1"/>
  <c r="A5" i="4"/>
  <c r="D10" i="1" s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19" i="2"/>
  <c r="M20" i="2"/>
  <c r="M21" i="2"/>
  <c r="M22" i="2"/>
  <c r="E9" i="1" l="1"/>
  <c r="E39" i="1"/>
  <c r="C17" i="1" l="1"/>
  <c r="C18" i="1"/>
  <c r="C19" i="1"/>
  <c r="C20" i="1"/>
  <c r="R19" i="1"/>
  <c r="R20" i="1"/>
  <c r="E21" i="1"/>
  <c r="D17" i="1"/>
  <c r="R17" i="1" s="1"/>
  <c r="D18" i="1"/>
  <c r="R18" i="1" s="1"/>
  <c r="D16" i="1" l="1"/>
  <c r="R16" i="1" l="1"/>
  <c r="E12" i="1"/>
  <c r="E11" i="1"/>
  <c r="E10" i="1"/>
  <c r="S18" i="1" l="1"/>
  <c r="T18" i="1" s="1"/>
  <c r="S16" i="1"/>
  <c r="T16" i="1" s="1"/>
  <c r="S19" i="1"/>
  <c r="T19" i="1" s="1"/>
  <c r="S20" i="1"/>
  <c r="T20" i="1" s="1"/>
  <c r="S17" i="1"/>
  <c r="T17" i="1" s="1"/>
  <c r="E23" i="1"/>
  <c r="E25" i="1" l="1"/>
  <c r="E26" i="1" l="1"/>
  <c r="E31" i="1" l="1"/>
  <c r="E32" i="1" s="1"/>
</calcChain>
</file>

<file path=xl/sharedStrings.xml><?xml version="1.0" encoding="utf-8"?>
<sst xmlns="http://schemas.openxmlformats.org/spreadsheetml/2006/main" count="216" uniqueCount="143">
  <si>
    <t>[kg/m³]</t>
  </si>
  <si>
    <t>[m]</t>
  </si>
  <si>
    <t xml:space="preserve">Füllmenge </t>
  </si>
  <si>
    <t>[kg]</t>
  </si>
  <si>
    <t>typ</t>
  </si>
  <si>
    <t>1/4"</t>
  </si>
  <si>
    <t>3/8"</t>
  </si>
  <si>
    <t>[kg/m]</t>
  </si>
  <si>
    <t>Nachfüllmenge</t>
  </si>
  <si>
    <t>[Zoll]</t>
  </si>
  <si>
    <t xml:space="preserve">Vorfüllung </t>
  </si>
  <si>
    <t>Einspritzleitung</t>
  </si>
  <si>
    <t>R32</t>
  </si>
  <si>
    <t>Bezeichnung</t>
  </si>
  <si>
    <t>Art. Nr.:</t>
  </si>
  <si>
    <t>Multi2 18 EVO32 HP Q</t>
  </si>
  <si>
    <t>Multi3 27 EVO32 HP Q</t>
  </si>
  <si>
    <t>Multi4 36 EVO32 HP Q</t>
  </si>
  <si>
    <t>Multi5 42 EVO32 HP Q</t>
  </si>
  <si>
    <t>1/2"</t>
  </si>
  <si>
    <t>werkseitige Vorfüllmenge:</t>
  </si>
  <si>
    <t>max. Leitungslänge</t>
  </si>
  <si>
    <t>Gerät 2</t>
  </si>
  <si>
    <t>Gerät 1</t>
  </si>
  <si>
    <t>Gerät 3</t>
  </si>
  <si>
    <t>Gerät 4</t>
  </si>
  <si>
    <t>Gerät 5</t>
  </si>
  <si>
    <t>max. Leitungslänge überschritten</t>
  </si>
  <si>
    <t>OK</t>
  </si>
  <si>
    <t>SUMME</t>
  </si>
  <si>
    <t>max. gesamt Rohrleitungslänge:</t>
  </si>
  <si>
    <t xml:space="preserve">erforderliche Nachfüllmenge: </t>
  </si>
  <si>
    <t xml:space="preserve">Gesamtmenge in der Anlage: </t>
  </si>
  <si>
    <t xml:space="preserve">erf. Mindestraumfläche: </t>
  </si>
  <si>
    <t xml:space="preserve">max. zul. Gesamt-Kältemittelfüllmenge: </t>
  </si>
  <si>
    <t xml:space="preserve">Installationshöhe: </t>
  </si>
  <si>
    <t xml:space="preserve">Füllmenge: </t>
  </si>
  <si>
    <t xml:space="preserve">vorhandene Raumfläche: </t>
  </si>
  <si>
    <t>- Das Innengerät ist in einem allgemeinen Zugangsbereich (A) montiert.</t>
  </si>
  <si>
    <t>- Anlagenklassifikation: direkt freisetzende Anlage</t>
  </si>
  <si>
    <t>- Aufstellungsort des Außengeräts: Klasse II - Verdichter im Maschinenraum oder im Freien</t>
  </si>
  <si>
    <t>Hinweis:</t>
  </si>
  <si>
    <t xml:space="preserve">Erforderliches Mindestraumvolumen für die oben geplante Anlage </t>
  </si>
  <si>
    <t xml:space="preserve">Berechnug der max. zul. Kältemittelmenge bei einem vorhandenen Raum </t>
  </si>
  <si>
    <t xml:space="preserve">Prüfung der max. zul. Leitungslänge: </t>
  </si>
  <si>
    <t>LCAC Outdoor 12 EVO32 HP Q</t>
  </si>
  <si>
    <t>- Toxizitäts-/ Brennbarkeitsklasse R32 : A2L</t>
  </si>
  <si>
    <t>Die obrige Berechnungen basieren sind gemäß DIN EN378-1:2018-04:</t>
  </si>
  <si>
    <t>Thomas Kerner 20210201</t>
  </si>
  <si>
    <t>neu</t>
  </si>
  <si>
    <t xml:space="preserve">CUTE Wall Out 09 EVO HP Q </t>
  </si>
  <si>
    <t xml:space="preserve">CUTE Wall Out 12 EVO HP Q </t>
  </si>
  <si>
    <t xml:space="preserve">CUTE Wall Out 18 EVO HP Q </t>
  </si>
  <si>
    <t xml:space="preserve">CUTE Wall Out 24 EVO HP Q </t>
  </si>
  <si>
    <t>PRIME Wall Out 09 INV-X HP Q</t>
  </si>
  <si>
    <t>PRIME Wall Out 12 INV-X HP Q</t>
  </si>
  <si>
    <t>PRIME Wall Out 18 INV-X HP Q</t>
  </si>
  <si>
    <t>PRIME Wall Out 24 INV-X HP Q</t>
  </si>
  <si>
    <t>LCAC Outdoor 18 LNS-X HP Q</t>
  </si>
  <si>
    <t>LCAC Outdoor 24 LNS-X HP Q</t>
  </si>
  <si>
    <t>LCAC Outdoor 36 LNS-X HP Q</t>
  </si>
  <si>
    <t>LCAC Outdoor 36 LNS-X HP R</t>
  </si>
  <si>
    <t>LCAC Outdoor 48 LNS-X HP R</t>
  </si>
  <si>
    <t>LCAC Outdoor 60 LNS-X HP R</t>
  </si>
  <si>
    <t xml:space="preserve">X-EDGE Wall Out 09 EVO32 HP Q </t>
  </si>
  <si>
    <t>X-EDGE Wall Out 12 EVO32 HP Q</t>
  </si>
  <si>
    <t>X-EDGE Wall Out 18 EVO32 HP Q</t>
  </si>
  <si>
    <t>X-EDGE Wall Out 24 EVO32 HP Q</t>
  </si>
  <si>
    <t>X-PRIME Wall Out 09 INV32 HP Q</t>
  </si>
  <si>
    <t>X-PRIME Wall Out 12 INV32 HP Q</t>
  </si>
  <si>
    <t>X-PRIME Wall Out 18 INV32 HP Q</t>
  </si>
  <si>
    <t>X-PRIME Wall Out 24 INV32 HP Q</t>
  </si>
  <si>
    <t>X-LCAC Outdoor 12 EVO32 HP Q</t>
  </si>
  <si>
    <t>X-LCAC Outdoor 18 EVO32 HP Q</t>
  </si>
  <si>
    <t>X-LCAC Outdoor 24 EVO32 HP Q</t>
  </si>
  <si>
    <t>X-LCAC Outdoor 36 EVO32 HP Q</t>
  </si>
  <si>
    <t>X-LCAC Outdoor 36 EVO32 HP R</t>
  </si>
  <si>
    <t>X-LCAC Outdoor 48 EVO32 HP R</t>
  </si>
  <si>
    <t>X-LCAC Outdoor 60 EVO32 HP R</t>
  </si>
  <si>
    <t>Auswahl ab Multi 4</t>
  </si>
  <si>
    <t>Bei Multi 4 &amp;5 muss der Anschluß passend ausgewählt werden</t>
  </si>
  <si>
    <t>Gesamtrohrlänge eintragen (Einspritzleitung/Flüssigkeitsleitung).</t>
  </si>
  <si>
    <t>Art. No.:</t>
  </si>
  <si>
    <t>Pre-charge per indoor unit up to:</t>
  </si>
  <si>
    <t>DE</t>
  </si>
  <si>
    <t>GB</t>
  </si>
  <si>
    <t xml:space="preserve">IT </t>
  </si>
  <si>
    <t>Berechnung der erf. Mindestraumfläche oder. max. Füllmenge nach DIN EN 378 für einen Peronenaufenthaltsbereich</t>
  </si>
  <si>
    <t>Calculation of the required minimum room area or. max. filling quantity according to DIN EN 378 for a personnel area</t>
  </si>
  <si>
    <t>Calcolo della superficie minima richiesta o. quantità massima di riempimento secondo DIN EN 378 per un'area riservata al personale</t>
  </si>
  <si>
    <r>
      <t xml:space="preserve">Modell Außeneinheit </t>
    </r>
    <r>
      <rPr>
        <b/>
        <sz val="11"/>
        <color theme="1"/>
        <rFont val="Calibri"/>
        <family val="2"/>
        <scheme val="minor"/>
      </rPr>
      <t>Sysplit</t>
    </r>
    <r>
      <rPr>
        <sz val="11"/>
        <color theme="1"/>
        <rFont val="Calibri"/>
        <family val="2"/>
        <scheme val="minor"/>
      </rPr>
      <t xml:space="preserve">: </t>
    </r>
  </si>
  <si>
    <r>
      <t xml:space="preserve">Outdoor unit Model </t>
    </r>
    <r>
      <rPr>
        <b/>
        <sz val="11"/>
        <color theme="1"/>
        <rFont val="Calibri"/>
        <family val="2"/>
        <scheme val="minor"/>
      </rPr>
      <t>Sysplit:</t>
    </r>
  </si>
  <si>
    <r>
      <t xml:space="preserve">Modello unità esterna </t>
    </r>
    <r>
      <rPr>
        <b/>
        <sz val="11"/>
        <color theme="1"/>
        <rFont val="Calibri"/>
        <family val="2"/>
        <scheme val="minor"/>
      </rPr>
      <t>Sysplit:</t>
    </r>
  </si>
  <si>
    <t>Vorfüllung je Innengerät bis:</t>
  </si>
  <si>
    <t>Precarica per unità interna fino a:</t>
  </si>
  <si>
    <t>max. total pipe length:</t>
  </si>
  <si>
    <t>lunghezza massima totale del tubo:</t>
  </si>
  <si>
    <t>factory pre-fill quantity:</t>
  </si>
  <si>
    <t>quantità di preriempimento di fabbrica:</t>
  </si>
  <si>
    <t>Enter total pipe length (injection line/liquid line).</t>
  </si>
  <si>
    <t>Immettere la lunghezza totale del tubo (linea di iniezione/linea del liquido).</t>
  </si>
  <si>
    <t>With Multi 4 &amp;5, the connection must be selected appropriately</t>
  </si>
  <si>
    <t>Con Multi 4 e 5, la connessione deve essere selezionata in modo appropriato</t>
  </si>
  <si>
    <t>indoor unit 1</t>
  </si>
  <si>
    <t>unità interna 1</t>
  </si>
  <si>
    <t>Checking the max. permissible pipe length:</t>
  </si>
  <si>
    <t>Required refill quantity:</t>
  </si>
  <si>
    <t>Quantità di ricarica richiesta:</t>
  </si>
  <si>
    <t>Total amount in the system:</t>
  </si>
  <si>
    <t>Importo totale nel sistema:</t>
  </si>
  <si>
    <t>Installation height:</t>
  </si>
  <si>
    <t>Altezza di installazione:</t>
  </si>
  <si>
    <t>Filling quantity:</t>
  </si>
  <si>
    <t>importo di riempimento:</t>
  </si>
  <si>
    <t>Required minimum room area:</t>
  </si>
  <si>
    <t>Superficie minima richiesta:</t>
  </si>
  <si>
    <t>Calculation of the max. permitted amount of refrigerant in an existing room</t>
  </si>
  <si>
    <t>Calcolo della quantità massima consentita di refrigerante in un locale esistente</t>
  </si>
  <si>
    <t>existing space:</t>
  </si>
  <si>
    <t>spazio esistente:</t>
  </si>
  <si>
    <t>max. total refrigerant charge:</t>
  </si>
  <si>
    <t>Carica di refrigerante totale massima:</t>
  </si>
  <si>
    <t>The above calculations are based on DIN EN378-1:2018-04:</t>
  </si>
  <si>
    <t>I calcoli di cui sopra si basano su DIN EN378-1:2018-04:</t>
  </si>
  <si>
    <t>'- Toxicity/flammability class R32 : A2L</t>
  </si>
  <si>
    <t>- Classe di tossicità/infiammabilità R32 : A2L</t>
  </si>
  <si>
    <t>- The indoor unit is mounted in a general access area (A).</t>
  </si>
  <si>
    <t>'- L'unità interna è montata in un'area di accesso generale (A).</t>
  </si>
  <si>
    <t>- Outdoor unit location: Class II - compressors in engine room or outdoors</t>
  </si>
  <si>
    <t>'- Ubicazione dell'unità esterna: Classe II - compressori in sala macchine o all'aperto</t>
  </si>
  <si>
    <t>Notice:</t>
  </si>
  <si>
    <t>Ist die vorhandene Raumfläche kleiner als die berechnete Mindestraumfläche (Amin), können Sie anhand DIN EN 378-1, C.3 überprüfen, welche zusätzlichen Maßnahmen wie zusätzliche Belüftung, Absaugung des ausgetretenen Kältemittels usw. getroffen werden können um eine kleinere Raumfläche zu ermöglichen.</t>
  </si>
  <si>
    <t>If the existing room area is smaller than the calculated minimum room area (Amin), you can use DIN EN 378-1, C.3 to check which additional measures such as additional ventilation, extraction of the leaked refrigerant, etc. can be taken to enable a smaller room area.</t>
  </si>
  <si>
    <t>Se la superficie della stanza esistente è inferiore alla superficie minima calcolata (Amin), è possibile utilizzare la norma DIN EN 378-1, C.3 per verificare quali misure aggiuntive come ventilazione aggiuntiva, estrazione del refrigerante fuoriuscito, ecc. possono essere adottate per consentire un'area della stanza più piccola.</t>
  </si>
  <si>
    <t>max. pipe length exceeded</t>
  </si>
  <si>
    <t>Innengerät 1</t>
  </si>
  <si>
    <t>- Classificazione vegetale: pianta a cessione diretta</t>
  </si>
  <si>
    <t>'- Plant classification: direct releasing plant</t>
  </si>
  <si>
    <t>Required minimum room volume for the system planned above</t>
  </si>
  <si>
    <t>Volume minimo della stanza richiesto per il sistema pianificato sopra</t>
  </si>
  <si>
    <t>Non corretto</t>
  </si>
  <si>
    <t>Controllo della lunghezza del tubo</t>
  </si>
  <si>
    <t>Codice: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</si>
</sst>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\ &quot;m&quot;"/>
    <numFmt numFmtId="165" formatCode="0.00\ &quot;kg&quot;"/>
    <numFmt numFmtId="166" formatCode="0.0\ &quot;m&quot;"/>
    <numFmt numFmtId="167" formatCode="0.00\ &quot;m&quot;"/>
    <numFmt numFmtId="168" formatCode="0.00\ &quot;m²&quot;"/>
    <numFmt numFmtId="169" formatCode="0.000\ &quot;kg&quot;"/>
  </numFmts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rgb="FF002121"/>
      <name val="DIN-Light"/>
    </font>
    <font>
      <i/>
      <sz val="8"/>
      <color rgb="FFFF0000"/>
      <name val="DIN-Light"/>
    </font>
    <font>
      <i/>
      <sz val="10"/>
      <color theme="1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166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0" fontId="0" fillId="0" borderId="0" xfId="0" applyAlignment="1" applyProtection="1">
      <alignment horizontal="left"/>
      <protection hidden="1"/>
    </xf>
    <xf numFmtId="169" fontId="2" fillId="3" borderId="0" xfId="0" applyNumberFormat="1" applyFont="1" applyFill="1" applyProtection="1">
      <protection hidden="1"/>
    </xf>
    <xf numFmtId="0" fontId="0" fillId="0" borderId="0" xfId="0" quotePrefix="1" applyFont="1" applyProtection="1">
      <protection hidden="1"/>
    </xf>
    <xf numFmtId="0" fontId="2" fillId="0" borderId="0" xfId="0" applyFont="1" applyProtection="1">
      <protection hidden="1"/>
    </xf>
    <xf numFmtId="165" fontId="0" fillId="3" borderId="0" xfId="0" applyNumberFormat="1" applyFill="1" applyProtection="1">
      <protection hidden="1"/>
    </xf>
    <xf numFmtId="0" fontId="2" fillId="2" borderId="0" xfId="0" applyFont="1" applyFill="1" applyProtection="1">
      <protection locked="0"/>
    </xf>
    <xf numFmtId="167" fontId="0" fillId="2" borderId="0" xfId="0" applyNumberFormat="1" applyFill="1" applyProtection="1">
      <protection locked="0"/>
    </xf>
    <xf numFmtId="0" fontId="3" fillId="0" borderId="0" xfId="0" applyFont="1" applyProtection="1">
      <protection hidden="1"/>
    </xf>
    <xf numFmtId="167" fontId="3" fillId="0" borderId="0" xfId="0" applyNumberFormat="1" applyFont="1" applyProtection="1">
      <protection hidden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8" fontId="2" fillId="3" borderId="0" xfId="0" applyNumberFormat="1" applyFont="1" applyFill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168" fontId="0" fillId="4" borderId="0" xfId="0" applyNumberFormat="1" applyFill="1" applyProtection="1">
      <protection locked="0"/>
    </xf>
    <xf numFmtId="0" fontId="0" fillId="2" borderId="0" xfId="0" applyFill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right"/>
      <protection hidden="1"/>
    </xf>
    <xf numFmtId="0" fontId="9" fillId="0" borderId="0" xfId="0" applyFont="1" applyProtection="1">
      <protection hidden="1"/>
    </xf>
    <xf numFmtId="165" fontId="2" fillId="3" borderId="1" xfId="0" applyNumberFormat="1" applyFont="1" applyFill="1" applyBorder="1" applyProtection="1">
      <protection hidden="1"/>
    </xf>
    <xf numFmtId="0" fontId="6" fillId="0" borderId="0" xfId="0" applyFont="1" applyAlignment="1">
      <alignment horizontal="right" vertical="center"/>
    </xf>
    <xf numFmtId="0" fontId="0" fillId="2" borderId="0" xfId="0" applyFill="1"/>
    <xf numFmtId="0" fontId="1" fillId="0" borderId="0" xfId="0" applyFont="1"/>
    <xf numFmtId="0" fontId="2" fillId="5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ont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0" fontId="7" fillId="0" borderId="0" xfId="0" quotePrefix="1" applyFont="1" applyAlignment="1" applyProtection="1">
      <alignment horizontal="left" vertical="top" wrapText="1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4" fillId="6" borderId="0" xfId="0" applyFont="1" applyFill="1" applyProtection="1">
      <protection locked="0"/>
    </xf>
    <xf numFmtId="0" fontId="4" fillId="0" borderId="0" xfId="0" applyFont="1" applyAlignment="1" applyProtection="1">
      <alignment horizontal="left" vertical="top" wrapText="1"/>
      <protection hidden="1"/>
    </xf>
    <xf numFmtId="0" fontId="7" fillId="0" borderId="0" xfId="0" applyFont="1" applyAlignment="1" applyProtection="1">
      <alignment horizontal="left" vertical="top" wrapText="1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2071341</xdr:colOff>
      <xdr:row>0</xdr:row>
      <xdr:rowOff>68787</xdr:rowOff>
    </xdr:from>
    <xdr:to>
      <xdr:col>6</xdr:col>
      <xdr:colOff>379178</xdr:colOff>
      <xdr:row>1</xdr:row>
      <xdr:rowOff>118283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5576" y="68787"/>
          <a:ext cx="1251249" cy="290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1260928</xdr:colOff>
      <xdr:row>42</xdr:row>
      <xdr:rowOff>136071</xdr:rowOff>
    </xdr:from>
    <xdr:to>
      <xdr:col>17</xdr:col>
      <xdr:colOff>699240</xdr:colOff>
      <xdr:row>61</xdr:row>
      <xdr:rowOff>165592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2928" y="3583214"/>
          <a:ext cx="14968598" cy="3476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view="pageBreakPreview" zoomScale="115" zoomScaleNormal="55" zoomScaleSheetLayoutView="115" zoomScalePageLayoutView="70" workbookViewId="0"/>
  </sheetViews>
  <sheetFormatPr baseColWidth="10" defaultRowHeight="14.5"/>
  <cols>
    <col min="1" max="1" width="7.7265625" style="3" customWidth="1"/>
    <col min="2" max="2" width="13.36328125" style="3" customWidth="1"/>
    <col min="3" max="3" width="8.6328125" style="3" customWidth="1"/>
    <col min="4" max="4" width="8.81640625" style="3" customWidth="1"/>
    <col min="5" max="5" width="36.6328125" style="3" customWidth="1"/>
    <col min="6" max="6" width="5.453125" style="3" customWidth="1"/>
    <col min="7" max="7" width="6.54296875" style="3" customWidth="1"/>
    <col min="8" max="8" width="5.1796875" style="3" customWidth="1"/>
    <col min="9" max="10" width="10.90625" style="3"/>
    <col min="11" max="11" width="10.90625" style="3" customWidth="1"/>
    <col min="12" max="14" width="10.90625" style="3"/>
    <col min="15" max="17" width="10.90625" style="3" customWidth="1"/>
    <col min="18" max="21" width="10.90625" style="3" hidden="1" customWidth="1"/>
    <col min="22" max="22" width="10.90625" style="3" customWidth="1"/>
    <col min="23" max="16384" width="10.90625" style="3"/>
  </cols>
  <sheetData>
    <row r="1" spans="1:21" ht="18.5">
      <c r="A1" s="42" t="s">
        <v>85</v>
      </c>
    </row>
    <row r="2" spans="1:21" ht="13" customHeight="1"/>
    <row r="3" spans="1:21" ht="18.5" customHeight="1">
      <c r="A3" s="43" t="str">
        <f>language!A2</f>
        <v>Calculation of the required minimum room area or. max. filling quantity according to DIN EN 378 for a personnel area</v>
      </c>
      <c r="B3" s="43"/>
      <c r="C3" s="43"/>
      <c r="D3" s="43"/>
      <c r="E3" s="43"/>
      <c r="F3" s="43"/>
    </row>
    <row r="4" spans="1:21" ht="18.5" customHeight="1">
      <c r="A4" s="43"/>
      <c r="B4" s="43"/>
      <c r="C4" s="43"/>
      <c r="D4" s="43"/>
      <c r="E4" s="43"/>
      <c r="F4" s="43"/>
    </row>
    <row r="7" spans="1:21">
      <c r="D7" s="4" t="str">
        <f>language!A3</f>
        <v>Outdoor unit Model Sysplit:</v>
      </c>
      <c r="E7" s="15"/>
    </row>
    <row r="8" spans="1:21" ht="6.5" customHeight="1">
      <c r="D8" s="5"/>
      <c r="S8" s="6"/>
    </row>
    <row r="9" spans="1:21">
      <c r="D9" s="5" t="str">
        <f>language!A4</f>
        <v>Art. No.:</v>
      </c>
      <c r="E9" s="3" t="e">
        <f>VLOOKUP($E$7,Tabelle2!$B:$M,2,FALSE)</f>
        <v>#N/A</v>
      </c>
    </row>
    <row r="10" spans="1:21">
      <c r="D10" s="5" t="str">
        <f>language!A5</f>
        <v>Pre-charge per indoor unit up to:</v>
      </c>
      <c r="E10" s="7" t="e">
        <f>VLOOKUP($E$7,Tabelle2!$B:$M,5,FALSE)</f>
        <v>#N/A</v>
      </c>
      <c r="R10" s="17" t="str">
        <f>language!A28</f>
        <v>OK</v>
      </c>
      <c r="S10" s="17"/>
      <c r="T10" s="17"/>
      <c r="U10" s="17"/>
    </row>
    <row r="11" spans="1:21">
      <c r="D11" s="5" t="str">
        <f>language!A6</f>
        <v>max. total pipe length:</v>
      </c>
      <c r="E11" s="8" t="e">
        <f>VLOOKUP($E$7,Tabelle2!$B:$M,6,FALSE)</f>
        <v>#N/A</v>
      </c>
      <c r="R11" s="17" t="str">
        <f>language!A29</f>
        <v>max. pipe length exceeded</v>
      </c>
      <c r="S11" s="17"/>
      <c r="T11" s="17"/>
      <c r="U11" s="17"/>
    </row>
    <row r="12" spans="1:21">
      <c r="D12" s="5" t="str">
        <f>language!A7</f>
        <v>factory pre-fill quantity:</v>
      </c>
      <c r="E12" s="9" t="e">
        <f>VLOOKUP($E$7,Tabelle2!$B:$M,4,FALSE)</f>
        <v>#N/A</v>
      </c>
      <c r="R12" s="17"/>
      <c r="S12" s="17"/>
      <c r="T12" s="17"/>
      <c r="U12" s="17"/>
    </row>
    <row r="13" spans="1:21">
      <c r="D13" s="5"/>
      <c r="R13" s="17"/>
      <c r="S13" s="17"/>
      <c r="T13" s="17"/>
      <c r="U13" s="17"/>
    </row>
    <row r="14" spans="1:21">
      <c r="C14" s="10" t="str">
        <f>language!A8</f>
        <v>Enter total pipe length (injection line/liquid line).</v>
      </c>
      <c r="R14" s="17"/>
      <c r="S14" s="17"/>
      <c r="T14" s="17"/>
      <c r="U14" s="17"/>
    </row>
    <row r="15" spans="1:21">
      <c r="C15" s="10" t="str">
        <f>language!A9</f>
        <v>With Multi 4 &amp;5, the connection must be selected appropriately</v>
      </c>
      <c r="R15" s="17"/>
      <c r="S15" s="17"/>
      <c r="T15" s="17"/>
      <c r="U15" s="17"/>
    </row>
    <row r="16" spans="1:21">
      <c r="C16" s="5" t="str">
        <f>language!A10</f>
        <v>indoor unit 1</v>
      </c>
      <c r="D16" s="5" t="e">
        <f>VLOOKUP($E$7,Tabelle2!$B:$M,7,FALSE)</f>
        <v>#N/A</v>
      </c>
      <c r="E16" s="16"/>
      <c r="I16" s="6"/>
      <c r="Q16" s="6"/>
      <c r="R16" s="17">
        <f>IFERROR(VLOOKUP(D16,Tabelle2!$P$31:$Q$33,2,FALSE),0)</f>
        <v>0</v>
      </c>
      <c r="S16" s="18" t="e">
        <f>$E$16-$E$10</f>
        <v>#N/A</v>
      </c>
      <c r="T16" s="17" t="e">
        <f>S16*R16</f>
        <v>#N/A</v>
      </c>
      <c r="U16" s="17"/>
    </row>
    <row r="17" spans="2:21">
      <c r="C17" s="5" t="str">
        <f>IF($E$7="Multi2 18 EVO32 HP Q",Tabelle2!I2,IF($E$7="Multi3 27 EVO32 HP Q",Tabelle2!I2,IF($E$7="Multi4 36 EVO32 HP Q",Tabelle2!I2,IF($E$7="Multi5 42 EVO32 HP Q",Tabelle2!I2,""))))</f>
        <v/>
      </c>
      <c r="D17" s="5" t="str">
        <f>IF(E7="Multi2 18 EVO32 HP Q",Tabelle2!I19,IF(E7="Multi3 27 EVO32 HP Q",Tabelle2!I20,IF(E7="Multi4 36 EVO32 HP Q",Tabelle2!I21,IF(E7="Multi5 42 EVO32 HP Q",Tabelle2!I22,""))))</f>
        <v/>
      </c>
      <c r="E17" s="16"/>
      <c r="I17" s="6"/>
      <c r="Q17" s="6"/>
      <c r="R17" s="17">
        <f>IFERROR(VLOOKUP(D17,Tabelle2!$P$31:$Q$33,2,FALSE),0)</f>
        <v>0</v>
      </c>
      <c r="S17" s="18" t="e">
        <f>E17-$E$10</f>
        <v>#N/A</v>
      </c>
      <c r="T17" s="17" t="e">
        <f t="shared" ref="T17:T20" si="0">S17*R17</f>
        <v>#N/A</v>
      </c>
      <c r="U17" s="17"/>
    </row>
    <row r="18" spans="2:21">
      <c r="C18" s="5" t="str">
        <f>IF(E7="Multi3 27 EVO32 HP Q",Tabelle2!J2,IF(E7="Multi4 36 EVO32 HP Q",Tabelle2!J2,IF(E7="Multi5 42 EVO32 HP Q",Tabelle2!J2,"")))</f>
        <v/>
      </c>
      <c r="D18" s="5" t="str">
        <f>IF(E7="Multi3 27 EVO32 HP Q",Tabelle2!J20,IF(E7="Multi4 36 EVO32 HP Q",Tabelle2!J21,IF(E7="Multi5 42 EVO32 HP Q",Tabelle2!J22,"")))</f>
        <v/>
      </c>
      <c r="E18" s="16"/>
      <c r="I18" s="6"/>
      <c r="Q18" s="6"/>
      <c r="R18" s="17">
        <f>IFERROR(VLOOKUP(D18,Tabelle2!$P$31:$Q$33,2,FALSE),0)</f>
        <v>0</v>
      </c>
      <c r="S18" s="18" t="e">
        <f t="shared" ref="S18:S20" si="1">E18-$E$10</f>
        <v>#N/A</v>
      </c>
      <c r="T18" s="17" t="e">
        <f t="shared" si="0"/>
        <v>#N/A</v>
      </c>
      <c r="U18" s="17"/>
    </row>
    <row r="19" spans="2:21">
      <c r="C19" s="5" t="str">
        <f>IF(E7="Multi4 36 EVO32 HP Q",Tabelle2!K2,IF(E7="Multi5 42 EVO32 HP Q",Tabelle2!K2,""))</f>
        <v/>
      </c>
      <c r="D19" s="25"/>
      <c r="E19" s="16"/>
      <c r="I19" s="6"/>
      <c r="Q19" s="6"/>
      <c r="R19" s="17">
        <f>IFERROR(VLOOKUP(D19,Tabelle2!$P$31:$Q$33,2,FALSE),0)</f>
        <v>0</v>
      </c>
      <c r="S19" s="18" t="e">
        <f>E19-$E$10</f>
        <v>#N/A</v>
      </c>
      <c r="T19" s="17" t="e">
        <f t="shared" si="0"/>
        <v>#N/A</v>
      </c>
      <c r="U19" s="17"/>
    </row>
    <row r="20" spans="2:21">
      <c r="C20" s="5" t="str">
        <f>IF(E7="Multi5 42 EVO32 HP Q",Tabelle2!L2,"")</f>
        <v/>
      </c>
      <c r="D20" s="25"/>
      <c r="E20" s="16"/>
      <c r="I20" s="6"/>
      <c r="Q20" s="6"/>
      <c r="R20" s="17">
        <f>IFERROR(VLOOKUP(D20,Tabelle2!$P$31:$Q$33,2,FALSE),0)</f>
        <v>0</v>
      </c>
      <c r="S20" s="18" t="e">
        <f t="shared" si="1"/>
        <v>#N/A</v>
      </c>
      <c r="T20" s="17" t="e">
        <f t="shared" si="0"/>
        <v>#N/A</v>
      </c>
      <c r="U20" s="17"/>
    </row>
    <row r="21" spans="2:21" hidden="1">
      <c r="C21" s="5"/>
      <c r="D21" s="3" t="s">
        <v>29</v>
      </c>
      <c r="E21" s="6">
        <f>SUM(E16:E20)</f>
        <v>0</v>
      </c>
      <c r="R21" s="17"/>
      <c r="S21" s="17"/>
      <c r="T21" s="17"/>
      <c r="U21" s="17"/>
    </row>
    <row r="22" spans="2:21">
      <c r="C22" s="5"/>
      <c r="E22" s="6"/>
      <c r="R22" s="17"/>
      <c r="S22" s="17"/>
      <c r="T22" s="17"/>
      <c r="U22" s="17"/>
    </row>
    <row r="23" spans="2:21" ht="18.5">
      <c r="D23" s="5" t="str">
        <f>language!A11</f>
        <v>Checking the max. permissible pipe length:</v>
      </c>
      <c r="E23" s="41" t="e">
        <f>IF(E21&gt;E11,R11,R10)</f>
        <v>#N/A</v>
      </c>
      <c r="R23" s="17"/>
      <c r="S23" s="17"/>
      <c r="T23" s="17"/>
      <c r="U23" s="17"/>
    </row>
    <row r="25" spans="2:21">
      <c r="D25" s="5" t="str">
        <f>language!A12</f>
        <v>Required refill quantity:</v>
      </c>
      <c r="E25" s="11" t="e">
        <f>IF(SUM(T16:T20)&lt;0,0,SUM(T16:T20))</f>
        <v>#N/A</v>
      </c>
    </row>
    <row r="26" spans="2:21">
      <c r="D26" s="5" t="str">
        <f>language!A13</f>
        <v>Total amount in the system:</v>
      </c>
      <c r="E26" s="11" t="e">
        <f>ROUNDUP(E12+E25,2)</f>
        <v>#N/A</v>
      </c>
      <c r="H26" s="12"/>
    </row>
    <row r="27" spans="2:21">
      <c r="H27" s="12"/>
    </row>
    <row r="28" spans="2:21" ht="15.5">
      <c r="B28" s="27" t="str">
        <f>language!A14</f>
        <v>Required minimum room volume for the system planned above</v>
      </c>
      <c r="H28" s="12"/>
    </row>
    <row r="29" spans="2:21" ht="8" customHeight="1">
      <c r="C29" s="13"/>
      <c r="H29" s="12"/>
    </row>
    <row r="30" spans="2:21">
      <c r="D30" s="5" t="str">
        <f>language!A15</f>
        <v>Installation height:</v>
      </c>
      <c r="E30" s="16"/>
      <c r="F30" s="13"/>
    </row>
    <row r="31" spans="2:21">
      <c r="D31" s="5" t="str">
        <f>language!A16</f>
        <v>Filling quantity:</v>
      </c>
      <c r="E31" s="14" t="e">
        <f>E26</f>
        <v>#N/A</v>
      </c>
    </row>
    <row r="32" spans="2:21">
      <c r="D32" s="26" t="str">
        <f>language!A17</f>
        <v>Required minimum room area:</v>
      </c>
      <c r="E32" s="21" t="e">
        <f>IF(E26&lt;1.8,"keine Beschränkung",E31^2/(2.5*Tabelle2!Q36^(5/4)*E30)^2)</f>
        <v>#N/A</v>
      </c>
    </row>
    <row r="33" spans="2:19" ht="6.5" customHeight="1">
      <c r="D33" s="5"/>
      <c r="S33" s="6"/>
    </row>
    <row r="34" spans="2:19">
      <c r="B34" s="19"/>
      <c r="C34" s="20"/>
      <c r="E34" s="29"/>
      <c r="H34" s="12"/>
    </row>
    <row r="35" spans="2:19" ht="6.5" customHeight="1">
      <c r="D35" s="5"/>
      <c r="S35" s="6"/>
    </row>
    <row r="36" spans="2:19">
      <c r="B36" s="13" t="str">
        <f>language!A18</f>
        <v>Calculation of the max. permitted amount of refrigerant in an existing room</v>
      </c>
    </row>
    <row r="37" spans="2:19" ht="8" customHeight="1">
      <c r="C37" s="13"/>
    </row>
    <row r="38" spans="2:19">
      <c r="D38" s="5" t="str">
        <f>language!A19</f>
        <v>existing space:</v>
      </c>
      <c r="E38" s="24"/>
    </row>
    <row r="39" spans="2:19" ht="15" thickBot="1">
      <c r="D39" s="5" t="str">
        <f>language!A20</f>
        <v>max. total refrigerant charge:</v>
      </c>
      <c r="E39" s="28">
        <f>2.5*Tabelle2!Q36^(5/4)*E30*E38^(1/2)</f>
        <v>0</v>
      </c>
    </row>
    <row r="40" spans="2:19" ht="15" thickTop="1"/>
    <row r="41" spans="2:19">
      <c r="B41" s="22" t="str">
        <f>language!A21</f>
        <v>The above calculations are based on DIN EN378-1:2018-04:</v>
      </c>
    </row>
    <row r="42" spans="2:19">
      <c r="B42" s="22" t="str">
        <f>language!A22</f>
        <v>'- Toxicity/flammability class R32 : A2L</v>
      </c>
    </row>
    <row r="43" spans="2:19">
      <c r="B43" s="22" t="str">
        <f>language!A23</f>
        <v>- The indoor unit is mounted in a general access area (A).</v>
      </c>
    </row>
    <row r="44" spans="2:19">
      <c r="B44" s="22" t="str">
        <f>language!A24</f>
        <v>- Outdoor unit location: Class II - compressors in engine room or outdoors</v>
      </c>
    </row>
    <row r="45" spans="2:19">
      <c r="B45" s="22" t="str">
        <f>language!A25</f>
        <v>'- Plant classification: direct releasing plant</v>
      </c>
    </row>
    <row r="46" spans="2:19" ht="4" customHeight="1"/>
    <row r="47" spans="2:19">
      <c r="B47" s="22" t="str">
        <f>language!A26</f>
        <v>Notice:</v>
      </c>
      <c r="C47" s="22"/>
      <c r="D47" s="22"/>
      <c r="E47" s="22"/>
      <c r="F47" s="22"/>
      <c r="G47" s="22"/>
      <c r="H47" s="22"/>
    </row>
    <row r="48" spans="2:19">
      <c r="B48" s="44" t="str">
        <f>language!A27</f>
        <v>If the existing room area is smaller than the calculated minimum room area (Amin), you can use DIN EN 378-1, C.3 to check which additional measures such as additional ventilation, extraction of the leaked refrigerant, etc. can be taken to enable a smaller room area.</v>
      </c>
      <c r="C48" s="44"/>
      <c r="D48" s="44"/>
      <c r="E48" s="44"/>
      <c r="F48" s="44"/>
      <c r="G48" s="22"/>
      <c r="H48" s="22"/>
    </row>
    <row r="49" spans="2:8">
      <c r="B49" s="44"/>
      <c r="C49" s="44"/>
      <c r="D49" s="44"/>
      <c r="E49" s="44"/>
      <c r="F49" s="44"/>
      <c r="G49" s="22"/>
      <c r="H49" s="22"/>
    </row>
    <row r="50" spans="2:8">
      <c r="B50" s="44"/>
      <c r="C50" s="44"/>
      <c r="D50" s="44"/>
      <c r="E50" s="44"/>
      <c r="F50" s="44"/>
      <c r="G50" s="22"/>
      <c r="H50" s="22"/>
    </row>
    <row r="51" spans="2:8">
      <c r="B51" s="44"/>
      <c r="C51" s="44"/>
      <c r="D51" s="44"/>
      <c r="E51" s="44"/>
      <c r="F51" s="44"/>
      <c r="G51" s="23" t="s">
        <v>48</v>
      </c>
    </row>
  </sheetData>
  <sheetProtection algorithmName="SHA-512" hashValue="z/+5ManVJGDx0Se/ZjdFsOzwcRn2EyYjd9SXVZWAsbkZDAP34pcyQuuanmTDDoTh68OBPSORg24AYv/rCZLEJw==" saltValue="mvQne/K5vfqmCAFTNLkYjA==" spinCount="100000" sheet="1" selectLockedCells="1"/>
  <mergeCells count="2">
    <mergeCell ref="A3:F4"/>
    <mergeCell ref="B48:F51"/>
  </mergeCells>
  <pageMargins left="0.9017857142857143" right="0.70866141732283472" top="0.74803149606299213" bottom="0.74803149606299213" header="0.31496062992125984" footer="0.31496062992125984"/>
  <pageSetup scale="9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Tabelle2!$P$31:$P$32</xm:f>
          </x14:formula1>
          <xm:sqref>D19:D20</xm:sqref>
        </x14:dataValidation>
        <x14:dataValidation type="list" allowBlank="1" showInputMessage="1" showErrorMessage="1">
          <x14:formula1>
            <xm:f>Tabelle2!$B$4:$B$37</xm:f>
          </x14:formula1>
          <xm:sqref>E7</xm:sqref>
        </x14:dataValidation>
        <x14:dataValidation type="list" allowBlank="1" showInputMessage="1" showErrorMessage="1">
          <x14:formula1>
            <xm:f>language!$B$1:$G$1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selection activeCell="B19" sqref="B19"/>
    </sheetView>
  </sheetViews>
  <sheetFormatPr baseColWidth="10" defaultRowHeight="14.5"/>
  <cols>
    <col min="2" max="2" width="29.81640625" customWidth="1"/>
    <col min="3" max="3" width="11" customWidth="1"/>
    <col min="4" max="4" width="24.7265625" customWidth="1"/>
    <col min="8" max="12" width="13.54296875" bestFit="1" customWidth="1"/>
    <col min="13" max="13" width="12.81640625" customWidth="1"/>
  </cols>
  <sheetData>
    <row r="1" spans="1:13">
      <c r="H1" t="s">
        <v>11</v>
      </c>
    </row>
    <row r="2" spans="1:13">
      <c r="B2" t="s">
        <v>13</v>
      </c>
      <c r="C2" t="s">
        <v>14</v>
      </c>
      <c r="D2" t="s">
        <v>4</v>
      </c>
      <c r="E2" t="s">
        <v>2</v>
      </c>
      <c r="F2" t="s">
        <v>10</v>
      </c>
      <c r="G2" t="s">
        <v>21</v>
      </c>
      <c r="H2" t="s">
        <v>23</v>
      </c>
      <c r="I2" t="s">
        <v>22</v>
      </c>
      <c r="J2" t="s">
        <v>24</v>
      </c>
      <c r="K2" t="s">
        <v>25</v>
      </c>
      <c r="L2" t="s">
        <v>26</v>
      </c>
      <c r="M2" t="s">
        <v>8</v>
      </c>
    </row>
    <row r="3" spans="1:13" s="2" customFormat="1">
      <c r="A3"/>
      <c r="B3"/>
      <c r="C3"/>
      <c r="D3"/>
      <c r="E3" t="s">
        <v>3</v>
      </c>
      <c r="F3" t="s">
        <v>1</v>
      </c>
      <c r="G3"/>
      <c r="H3" t="s">
        <v>9</v>
      </c>
      <c r="I3" t="s">
        <v>9</v>
      </c>
      <c r="J3" t="s">
        <v>9</v>
      </c>
      <c r="K3" t="s">
        <v>9</v>
      </c>
      <c r="L3" t="s">
        <v>9</v>
      </c>
      <c r="M3" t="s">
        <v>7</v>
      </c>
    </row>
    <row r="4" spans="1:13">
      <c r="A4" t="s">
        <v>49</v>
      </c>
      <c r="B4" t="s">
        <v>50</v>
      </c>
      <c r="C4">
        <v>323543</v>
      </c>
      <c r="D4">
        <v>9</v>
      </c>
      <c r="E4">
        <v>0.62</v>
      </c>
      <c r="F4">
        <v>5</v>
      </c>
      <c r="G4">
        <v>25</v>
      </c>
      <c r="H4" t="s">
        <v>5</v>
      </c>
      <c r="M4" s="30">
        <f t="shared" ref="M4:M18" si="0">VLOOKUP(H4,$P$31:$Q$33,2,)</f>
        <v>1.2E-2</v>
      </c>
    </row>
    <row r="5" spans="1:13">
      <c r="A5" t="s">
        <v>49</v>
      </c>
      <c r="B5" t="s">
        <v>51</v>
      </c>
      <c r="C5">
        <v>323544</v>
      </c>
      <c r="D5">
        <v>12</v>
      </c>
      <c r="E5">
        <v>0.62</v>
      </c>
      <c r="F5">
        <v>5</v>
      </c>
      <c r="G5">
        <v>25</v>
      </c>
      <c r="H5" t="s">
        <v>5</v>
      </c>
      <c r="M5" s="30">
        <f t="shared" si="0"/>
        <v>1.2E-2</v>
      </c>
    </row>
    <row r="6" spans="1:13">
      <c r="A6" t="s">
        <v>49</v>
      </c>
      <c r="B6" t="s">
        <v>52</v>
      </c>
      <c r="C6">
        <v>323545</v>
      </c>
      <c r="D6">
        <v>18</v>
      </c>
      <c r="E6">
        <v>1.1000000000000001</v>
      </c>
      <c r="F6">
        <v>5</v>
      </c>
      <c r="G6">
        <v>30</v>
      </c>
      <c r="H6" t="s">
        <v>5</v>
      </c>
      <c r="M6" s="30">
        <f t="shared" si="0"/>
        <v>1.2E-2</v>
      </c>
    </row>
    <row r="7" spans="1:13">
      <c r="A7" t="s">
        <v>49</v>
      </c>
      <c r="B7" t="s">
        <v>53</v>
      </c>
      <c r="C7">
        <v>323546</v>
      </c>
      <c r="D7">
        <v>24</v>
      </c>
      <c r="E7">
        <v>1.45</v>
      </c>
      <c r="F7">
        <v>5</v>
      </c>
      <c r="G7">
        <v>30</v>
      </c>
      <c r="H7" t="s">
        <v>6</v>
      </c>
      <c r="M7" s="30">
        <f t="shared" si="0"/>
        <v>2.4E-2</v>
      </c>
    </row>
    <row r="8" spans="1:13">
      <c r="A8" t="s">
        <v>49</v>
      </c>
      <c r="B8" t="s">
        <v>54</v>
      </c>
      <c r="C8">
        <v>322263</v>
      </c>
      <c r="D8">
        <v>9</v>
      </c>
      <c r="E8">
        <v>0.55000000000000004</v>
      </c>
      <c r="F8">
        <v>5</v>
      </c>
      <c r="G8">
        <v>25</v>
      </c>
      <c r="H8" t="s">
        <v>5</v>
      </c>
      <c r="M8" s="30">
        <f t="shared" si="0"/>
        <v>1.2E-2</v>
      </c>
    </row>
    <row r="9" spans="1:13">
      <c r="A9" t="s">
        <v>49</v>
      </c>
      <c r="B9" t="s">
        <v>55</v>
      </c>
      <c r="C9">
        <v>322289</v>
      </c>
      <c r="D9">
        <v>12</v>
      </c>
      <c r="E9">
        <v>0.55000000000000004</v>
      </c>
      <c r="F9">
        <v>5</v>
      </c>
      <c r="G9">
        <v>25</v>
      </c>
      <c r="H9" t="s">
        <v>5</v>
      </c>
      <c r="M9" s="30">
        <f t="shared" si="0"/>
        <v>1.2E-2</v>
      </c>
    </row>
    <row r="10" spans="1:13">
      <c r="A10" t="s">
        <v>49</v>
      </c>
      <c r="B10" t="s">
        <v>56</v>
      </c>
      <c r="C10">
        <v>322333</v>
      </c>
      <c r="D10">
        <v>18</v>
      </c>
      <c r="E10">
        <v>1.08</v>
      </c>
      <c r="F10">
        <v>5</v>
      </c>
      <c r="G10">
        <v>30</v>
      </c>
      <c r="H10" t="s">
        <v>5</v>
      </c>
      <c r="M10" s="30">
        <f t="shared" si="0"/>
        <v>1.2E-2</v>
      </c>
    </row>
    <row r="11" spans="1:13">
      <c r="A11" t="s">
        <v>49</v>
      </c>
      <c r="B11" t="s">
        <v>57</v>
      </c>
      <c r="C11">
        <v>322525</v>
      </c>
      <c r="D11">
        <v>24</v>
      </c>
      <c r="E11">
        <v>1.42</v>
      </c>
      <c r="F11">
        <v>5</v>
      </c>
      <c r="G11">
        <v>50</v>
      </c>
      <c r="H11" t="s">
        <v>6</v>
      </c>
      <c r="M11" s="30">
        <f t="shared" si="0"/>
        <v>2.4E-2</v>
      </c>
    </row>
    <row r="12" spans="1:13">
      <c r="A12" t="s">
        <v>49</v>
      </c>
      <c r="B12" t="s">
        <v>45</v>
      </c>
      <c r="C12">
        <v>323565</v>
      </c>
      <c r="D12">
        <v>12</v>
      </c>
      <c r="E12">
        <v>0.72</v>
      </c>
      <c r="F12">
        <v>5</v>
      </c>
      <c r="G12">
        <v>25</v>
      </c>
      <c r="H12" t="s">
        <v>5</v>
      </c>
      <c r="M12" s="30">
        <f t="shared" si="0"/>
        <v>1.2E-2</v>
      </c>
    </row>
    <row r="13" spans="1:13">
      <c r="A13" t="s">
        <v>49</v>
      </c>
      <c r="B13" t="s">
        <v>58</v>
      </c>
      <c r="C13">
        <v>323566</v>
      </c>
      <c r="D13">
        <v>18</v>
      </c>
      <c r="E13">
        <v>1.1499999999999999</v>
      </c>
      <c r="F13">
        <v>5</v>
      </c>
      <c r="G13">
        <v>30</v>
      </c>
      <c r="H13" t="s">
        <v>5</v>
      </c>
      <c r="M13" s="30">
        <f t="shared" si="0"/>
        <v>1.2E-2</v>
      </c>
    </row>
    <row r="14" spans="1:13">
      <c r="A14" t="s">
        <v>49</v>
      </c>
      <c r="B14" t="s">
        <v>59</v>
      </c>
      <c r="C14">
        <v>323567</v>
      </c>
      <c r="D14">
        <v>24</v>
      </c>
      <c r="E14">
        <v>1.5</v>
      </c>
      <c r="F14">
        <v>5</v>
      </c>
      <c r="G14">
        <v>50</v>
      </c>
      <c r="H14" t="s">
        <v>6</v>
      </c>
      <c r="M14" s="30">
        <f t="shared" si="0"/>
        <v>2.4E-2</v>
      </c>
    </row>
    <row r="15" spans="1:13">
      <c r="A15" t="s">
        <v>49</v>
      </c>
      <c r="B15" t="s">
        <v>60</v>
      </c>
      <c r="C15">
        <v>323568</v>
      </c>
      <c r="D15">
        <v>36</v>
      </c>
      <c r="E15">
        <v>2.4</v>
      </c>
      <c r="F15">
        <v>5</v>
      </c>
      <c r="G15">
        <v>75</v>
      </c>
      <c r="H15" t="s">
        <v>6</v>
      </c>
      <c r="M15" s="30">
        <f t="shared" si="0"/>
        <v>2.4E-2</v>
      </c>
    </row>
    <row r="16" spans="1:13">
      <c r="A16" t="s">
        <v>49</v>
      </c>
      <c r="B16" t="s">
        <v>61</v>
      </c>
      <c r="C16">
        <v>323569</v>
      </c>
      <c r="D16">
        <v>36</v>
      </c>
      <c r="E16">
        <v>2.4</v>
      </c>
      <c r="F16">
        <v>5</v>
      </c>
      <c r="G16">
        <v>75</v>
      </c>
      <c r="H16" t="s">
        <v>6</v>
      </c>
      <c r="M16" s="30">
        <f t="shared" si="0"/>
        <v>2.4E-2</v>
      </c>
    </row>
    <row r="17" spans="1:17">
      <c r="A17" t="s">
        <v>49</v>
      </c>
      <c r="B17" t="s">
        <v>62</v>
      </c>
      <c r="C17">
        <v>323570</v>
      </c>
      <c r="D17">
        <v>48</v>
      </c>
      <c r="E17">
        <v>2.9</v>
      </c>
      <c r="F17">
        <v>5</v>
      </c>
      <c r="G17">
        <v>75</v>
      </c>
      <c r="H17" t="s">
        <v>6</v>
      </c>
      <c r="M17" s="30">
        <f t="shared" si="0"/>
        <v>2.4E-2</v>
      </c>
    </row>
    <row r="18" spans="1:17">
      <c r="A18" t="s">
        <v>49</v>
      </c>
      <c r="B18" t="s">
        <v>63</v>
      </c>
      <c r="C18">
        <v>323571</v>
      </c>
      <c r="D18">
        <v>60</v>
      </c>
      <c r="E18">
        <v>3</v>
      </c>
      <c r="F18">
        <v>5</v>
      </c>
      <c r="G18">
        <v>75</v>
      </c>
      <c r="H18" t="s">
        <v>6</v>
      </c>
      <c r="M18" s="30">
        <f t="shared" si="0"/>
        <v>2.4E-2</v>
      </c>
    </row>
    <row r="19" spans="1:17">
      <c r="B19" t="s">
        <v>15</v>
      </c>
      <c r="C19">
        <v>315813</v>
      </c>
      <c r="E19">
        <v>1.3</v>
      </c>
      <c r="F19">
        <v>7.5</v>
      </c>
      <c r="G19">
        <v>40</v>
      </c>
      <c r="H19" t="s">
        <v>5</v>
      </c>
      <c r="I19" t="s">
        <v>5</v>
      </c>
      <c r="M19" s="30">
        <f>VLOOKUP(H19,$P$31:$Q$33,2,)</f>
        <v>1.2E-2</v>
      </c>
    </row>
    <row r="20" spans="1:17">
      <c r="B20" t="s">
        <v>16</v>
      </c>
      <c r="C20">
        <v>315814</v>
      </c>
      <c r="E20">
        <v>1.57</v>
      </c>
      <c r="F20">
        <v>7.5</v>
      </c>
      <c r="G20">
        <v>60</v>
      </c>
      <c r="H20" t="s">
        <v>5</v>
      </c>
      <c r="I20" t="s">
        <v>5</v>
      </c>
      <c r="J20" t="s">
        <v>5</v>
      </c>
      <c r="M20" s="30">
        <f>VLOOKUP(H20,$P$31:$Q$33,2,)</f>
        <v>1.2E-2</v>
      </c>
    </row>
    <row r="21" spans="1:17">
      <c r="B21" t="s">
        <v>17</v>
      </c>
      <c r="C21">
        <v>315861</v>
      </c>
      <c r="E21">
        <v>2.1</v>
      </c>
      <c r="F21">
        <v>7.5</v>
      </c>
      <c r="G21">
        <v>80</v>
      </c>
      <c r="H21" t="s">
        <v>5</v>
      </c>
      <c r="I21" t="s">
        <v>5</v>
      </c>
      <c r="J21" t="s">
        <v>5</v>
      </c>
      <c r="K21" t="s">
        <v>5</v>
      </c>
      <c r="M21" s="30">
        <f>VLOOKUP(H21,$P$31:$Q$33,2,)</f>
        <v>1.2E-2</v>
      </c>
      <c r="P21" t="s">
        <v>79</v>
      </c>
    </row>
    <row r="22" spans="1:17">
      <c r="B22" t="s">
        <v>18</v>
      </c>
      <c r="C22">
        <v>315865</v>
      </c>
      <c r="E22">
        <v>2.4</v>
      </c>
      <c r="F22">
        <v>7.5</v>
      </c>
      <c r="G22">
        <v>80</v>
      </c>
      <c r="H22" t="s">
        <v>5</v>
      </c>
      <c r="I22" t="s">
        <v>5</v>
      </c>
      <c r="J22" t="s">
        <v>5</v>
      </c>
      <c r="K22" t="s">
        <v>5</v>
      </c>
      <c r="L22" t="s">
        <v>5</v>
      </c>
      <c r="M22" s="30">
        <f>VLOOKUP(H22,$P$31:$Q$33,2,)</f>
        <v>1.2E-2</v>
      </c>
      <c r="P22" t="s">
        <v>5</v>
      </c>
    </row>
    <row r="23" spans="1:17">
      <c r="B23" s="31" t="s">
        <v>64</v>
      </c>
      <c r="C23" s="31">
        <v>316709</v>
      </c>
      <c r="D23">
        <v>9</v>
      </c>
      <c r="E23">
        <v>0.7</v>
      </c>
      <c r="F23">
        <v>5</v>
      </c>
      <c r="G23">
        <v>25</v>
      </c>
      <c r="H23" t="s">
        <v>5</v>
      </c>
      <c r="M23" s="30">
        <f t="shared" ref="M23:M30" si="1">VLOOKUP(H23,$P$31:$Q$33,2,)</f>
        <v>1.2E-2</v>
      </c>
    </row>
    <row r="24" spans="1:17">
      <c r="B24" s="31" t="s">
        <v>65</v>
      </c>
      <c r="C24" s="31">
        <v>316710</v>
      </c>
      <c r="D24">
        <v>12</v>
      </c>
      <c r="E24">
        <v>0.8</v>
      </c>
      <c r="F24">
        <v>5</v>
      </c>
      <c r="G24">
        <v>25</v>
      </c>
      <c r="H24" t="s">
        <v>5</v>
      </c>
      <c r="M24" s="30">
        <f t="shared" si="1"/>
        <v>1.2E-2</v>
      </c>
    </row>
    <row r="25" spans="1:17">
      <c r="B25" s="31" t="s">
        <v>66</v>
      </c>
      <c r="C25" s="31">
        <v>316711</v>
      </c>
      <c r="D25">
        <v>18</v>
      </c>
      <c r="E25">
        <v>1.25</v>
      </c>
      <c r="F25">
        <v>5</v>
      </c>
      <c r="G25">
        <v>30</v>
      </c>
      <c r="H25" t="s">
        <v>5</v>
      </c>
      <c r="M25" s="30">
        <f t="shared" si="1"/>
        <v>1.2E-2</v>
      </c>
    </row>
    <row r="26" spans="1:17">
      <c r="B26" s="31" t="s">
        <v>67</v>
      </c>
      <c r="C26" s="31">
        <v>316712</v>
      </c>
      <c r="D26">
        <v>24</v>
      </c>
      <c r="E26">
        <v>1.6</v>
      </c>
      <c r="F26">
        <v>5</v>
      </c>
      <c r="G26">
        <v>50</v>
      </c>
      <c r="H26" t="s">
        <v>6</v>
      </c>
      <c r="M26" s="30">
        <f t="shared" si="1"/>
        <v>2.4E-2</v>
      </c>
    </row>
    <row r="27" spans="1:17">
      <c r="B27" s="31" t="s">
        <v>68</v>
      </c>
      <c r="C27" s="31">
        <v>315809</v>
      </c>
      <c r="D27">
        <v>9</v>
      </c>
      <c r="E27">
        <v>0.5</v>
      </c>
      <c r="F27">
        <v>5</v>
      </c>
      <c r="G27">
        <v>25</v>
      </c>
      <c r="H27" t="s">
        <v>5</v>
      </c>
      <c r="M27" s="30">
        <f t="shared" si="1"/>
        <v>1.2E-2</v>
      </c>
    </row>
    <row r="28" spans="1:17">
      <c r="B28" s="31" t="s">
        <v>69</v>
      </c>
      <c r="C28" s="31">
        <v>315810</v>
      </c>
      <c r="D28">
        <v>12</v>
      </c>
      <c r="E28">
        <v>0.5</v>
      </c>
      <c r="F28">
        <v>5</v>
      </c>
      <c r="G28">
        <v>25</v>
      </c>
      <c r="H28" t="s">
        <v>5</v>
      </c>
      <c r="M28" s="30">
        <f t="shared" si="1"/>
        <v>1.2E-2</v>
      </c>
    </row>
    <row r="29" spans="1:17">
      <c r="B29" s="31" t="s">
        <v>70</v>
      </c>
      <c r="C29" s="31">
        <v>315811</v>
      </c>
      <c r="D29">
        <v>18</v>
      </c>
      <c r="E29">
        <v>1</v>
      </c>
      <c r="F29">
        <v>5</v>
      </c>
      <c r="G29">
        <v>30</v>
      </c>
      <c r="H29" t="s">
        <v>5</v>
      </c>
      <c r="M29" s="30">
        <f t="shared" si="1"/>
        <v>1.2E-2</v>
      </c>
    </row>
    <row r="30" spans="1:17">
      <c r="B30" s="31" t="s">
        <v>71</v>
      </c>
      <c r="C30" s="31">
        <v>315812</v>
      </c>
      <c r="D30">
        <v>24</v>
      </c>
      <c r="E30">
        <v>1.6</v>
      </c>
      <c r="F30">
        <v>5</v>
      </c>
      <c r="G30">
        <v>50</v>
      </c>
      <c r="H30" t="s">
        <v>6</v>
      </c>
      <c r="M30" s="30">
        <f t="shared" si="1"/>
        <v>2.4E-2</v>
      </c>
      <c r="P30" s="2" t="s">
        <v>9</v>
      </c>
      <c r="Q30" s="2" t="s">
        <v>7</v>
      </c>
    </row>
    <row r="31" spans="1:17">
      <c r="B31" s="31" t="s">
        <v>72</v>
      </c>
      <c r="C31" s="31">
        <v>316472</v>
      </c>
      <c r="D31">
        <v>12</v>
      </c>
      <c r="E31">
        <v>0.87</v>
      </c>
      <c r="F31">
        <v>5</v>
      </c>
      <c r="G31">
        <v>25</v>
      </c>
      <c r="H31" t="s">
        <v>5</v>
      </c>
      <c r="M31" s="30">
        <f t="shared" ref="M31:M37" si="2">VLOOKUP(H31,$P$31:$Q$33,2,)</f>
        <v>1.2E-2</v>
      </c>
      <c r="P31" s="1" t="s">
        <v>5</v>
      </c>
      <c r="Q31">
        <v>1.2E-2</v>
      </c>
    </row>
    <row r="32" spans="1:17">
      <c r="B32" s="31" t="s">
        <v>73</v>
      </c>
      <c r="C32" s="31">
        <v>316473</v>
      </c>
      <c r="D32">
        <v>18</v>
      </c>
      <c r="E32">
        <v>1.1499999999999999</v>
      </c>
      <c r="F32">
        <v>5</v>
      </c>
      <c r="G32">
        <v>30</v>
      </c>
      <c r="H32" t="s">
        <v>5</v>
      </c>
      <c r="M32" s="30">
        <f t="shared" si="2"/>
        <v>1.2E-2</v>
      </c>
      <c r="P32" t="s">
        <v>6</v>
      </c>
      <c r="Q32">
        <v>2.4E-2</v>
      </c>
    </row>
    <row r="33" spans="2:17">
      <c r="B33" s="31" t="s">
        <v>74</v>
      </c>
      <c r="C33" s="31">
        <v>315816</v>
      </c>
      <c r="D33">
        <v>24</v>
      </c>
      <c r="E33">
        <v>1.5</v>
      </c>
      <c r="F33">
        <v>5</v>
      </c>
      <c r="G33">
        <v>50</v>
      </c>
      <c r="H33" t="s">
        <v>6</v>
      </c>
      <c r="M33" s="30">
        <f t="shared" si="2"/>
        <v>2.4E-2</v>
      </c>
      <c r="P33" t="s">
        <v>19</v>
      </c>
      <c r="Q33">
        <v>0.04</v>
      </c>
    </row>
    <row r="34" spans="2:17">
      <c r="B34" s="31" t="s">
        <v>75</v>
      </c>
      <c r="C34" s="31">
        <v>315866</v>
      </c>
      <c r="D34">
        <v>36</v>
      </c>
      <c r="E34">
        <v>2.4</v>
      </c>
      <c r="F34">
        <v>5</v>
      </c>
      <c r="G34">
        <v>65</v>
      </c>
      <c r="H34" t="s">
        <v>6</v>
      </c>
      <c r="M34" s="30">
        <f t="shared" si="2"/>
        <v>2.4E-2</v>
      </c>
    </row>
    <row r="35" spans="2:17">
      <c r="B35" s="31" t="s">
        <v>76</v>
      </c>
      <c r="C35" s="31">
        <v>315867</v>
      </c>
      <c r="D35">
        <v>36</v>
      </c>
      <c r="E35">
        <v>2.4</v>
      </c>
      <c r="F35">
        <v>5</v>
      </c>
      <c r="G35">
        <v>65</v>
      </c>
      <c r="H35" t="s">
        <v>19</v>
      </c>
      <c r="M35" s="30">
        <f t="shared" si="2"/>
        <v>0.04</v>
      </c>
      <c r="Q35" t="s">
        <v>0</v>
      </c>
    </row>
    <row r="36" spans="2:17">
      <c r="B36" s="31" t="s">
        <v>77</v>
      </c>
      <c r="C36" s="31">
        <v>315868</v>
      </c>
      <c r="D36">
        <v>48</v>
      </c>
      <c r="E36">
        <v>2.8</v>
      </c>
      <c r="F36">
        <v>5</v>
      </c>
      <c r="G36">
        <v>65</v>
      </c>
      <c r="H36" t="s">
        <v>19</v>
      </c>
      <c r="M36" s="30">
        <f t="shared" si="2"/>
        <v>0.04</v>
      </c>
      <c r="P36" t="s">
        <v>12</v>
      </c>
      <c r="Q36">
        <v>0.307</v>
      </c>
    </row>
    <row r="37" spans="2:17">
      <c r="B37" s="31" t="s">
        <v>78</v>
      </c>
      <c r="C37" s="31">
        <v>315869</v>
      </c>
      <c r="D37">
        <v>60</v>
      </c>
      <c r="E37">
        <v>2.95</v>
      </c>
      <c r="F37">
        <v>5</v>
      </c>
      <c r="G37">
        <v>65</v>
      </c>
      <c r="H37" t="s">
        <v>19</v>
      </c>
      <c r="M37" s="30">
        <f t="shared" si="2"/>
        <v>0.04</v>
      </c>
    </row>
  </sheetData>
  <dataValidations count="1">
    <dataValidation type="list" allowBlank="1" showInputMessage="1" showErrorMessage="1" sqref="P22">
      <formula1>$P$31:$P$32</formula1>
    </dataValidation>
  </dataValidation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9" sqref="B19"/>
    </sheetView>
  </sheetViews>
  <sheetFormatPr baseColWidth="10" defaultRowHeight="14.5"/>
  <sheetData>
    <row r="1" spans="1:2">
      <c r="A1" t="s">
        <v>84</v>
      </c>
      <c r="B1">
        <v>1</v>
      </c>
    </row>
    <row r="2" spans="1:2">
      <c r="A2" t="s">
        <v>85</v>
      </c>
      <c r="B2">
        <v>2</v>
      </c>
    </row>
    <row r="3" spans="1:2">
      <c r="A3" t="s">
        <v>86</v>
      </c>
      <c r="B3">
        <v>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B1" workbookViewId="0">
      <selection activeCell="B19" sqref="B19"/>
    </sheetView>
  </sheetViews>
  <sheetFormatPr baseColWidth="10" defaultColWidth="18.08984375" defaultRowHeight="14.5"/>
  <cols>
    <col min="1" max="1" width="23.453125" style="33" customWidth="1"/>
    <col min="2" max="4" width="60.08984375" style="33" customWidth="1"/>
    <col min="5" max="6" width="27.6328125" style="33" customWidth="1"/>
    <col min="7" max="16384" width="18.08984375" style="33"/>
  </cols>
  <sheetData>
    <row r="1" spans="1:7">
      <c r="A1" s="33">
        <f>VLOOKUP('R32'!A1,Tabelle3!A1:B3,2,FALSE)</f>
        <v>2</v>
      </c>
      <c r="B1" s="32" t="s">
        <v>84</v>
      </c>
      <c r="C1" s="32" t="s">
        <v>85</v>
      </c>
      <c r="D1" s="32" t="s">
        <v>86</v>
      </c>
      <c r="E1" s="32"/>
      <c r="F1" s="32"/>
      <c r="G1" s="32"/>
    </row>
    <row r="2" spans="1:7" ht="29">
      <c r="A2" s="33" t="str">
        <f>INDEX(B2:D2,1,$A$1)</f>
        <v>Calculation of the required minimum room area or. max. filling quantity according to DIN EN 378 for a personnel area</v>
      </c>
      <c r="B2" s="34" t="s">
        <v>87</v>
      </c>
      <c r="C2" s="34" t="s">
        <v>88</v>
      </c>
      <c r="D2" s="34" t="s">
        <v>89</v>
      </c>
      <c r="E2" s="34"/>
      <c r="F2" s="34"/>
      <c r="G2" s="34"/>
    </row>
    <row r="3" spans="1:7">
      <c r="A3" s="33" t="str">
        <f t="shared" ref="A3:A29" si="0">INDEX(B3:D3,1,$A$1)</f>
        <v>Outdoor unit Model Sysplit:</v>
      </c>
      <c r="B3" s="35" t="s">
        <v>90</v>
      </c>
      <c r="C3" s="35" t="s">
        <v>91</v>
      </c>
      <c r="D3" s="35" t="s">
        <v>92</v>
      </c>
      <c r="E3" s="35"/>
      <c r="F3" s="35"/>
      <c r="G3" s="35"/>
    </row>
    <row r="4" spans="1:7">
      <c r="A4" s="33" t="str">
        <f t="shared" si="0"/>
        <v>Art. No.:</v>
      </c>
      <c r="B4" s="36" t="s">
        <v>14</v>
      </c>
      <c r="C4" s="36" t="s">
        <v>82</v>
      </c>
      <c r="D4" s="36" t="s">
        <v>142</v>
      </c>
      <c r="E4" s="36"/>
      <c r="F4" s="36"/>
      <c r="G4" s="36"/>
    </row>
    <row r="5" spans="1:7">
      <c r="A5" s="33" t="str">
        <f t="shared" si="0"/>
        <v>Pre-charge per indoor unit up to:</v>
      </c>
      <c r="B5" s="36" t="s">
        <v>93</v>
      </c>
      <c r="C5" s="36" t="s">
        <v>83</v>
      </c>
      <c r="D5" s="36" t="s">
        <v>94</v>
      </c>
      <c r="E5" s="36"/>
      <c r="F5" s="36"/>
      <c r="G5" s="36"/>
    </row>
    <row r="6" spans="1:7">
      <c r="A6" s="33" t="str">
        <f t="shared" si="0"/>
        <v>max. total pipe length:</v>
      </c>
      <c r="B6" s="36" t="s">
        <v>30</v>
      </c>
      <c r="C6" s="36" t="s">
        <v>95</v>
      </c>
      <c r="D6" s="36" t="s">
        <v>96</v>
      </c>
      <c r="E6" s="36"/>
      <c r="F6" s="36"/>
      <c r="G6" s="36"/>
    </row>
    <row r="7" spans="1:7">
      <c r="A7" s="33" t="str">
        <f t="shared" si="0"/>
        <v>factory pre-fill quantity:</v>
      </c>
      <c r="B7" s="36" t="s">
        <v>20</v>
      </c>
      <c r="C7" s="36" t="s">
        <v>97</v>
      </c>
      <c r="D7" s="36" t="s">
        <v>98</v>
      </c>
      <c r="E7" s="36"/>
      <c r="F7" s="36"/>
      <c r="G7" s="36"/>
    </row>
    <row r="8" spans="1:7" ht="29">
      <c r="A8" s="33" t="str">
        <f t="shared" si="0"/>
        <v>Enter total pipe length (injection line/liquid line).</v>
      </c>
      <c r="B8" s="36" t="s">
        <v>81</v>
      </c>
      <c r="C8" s="36" t="s">
        <v>99</v>
      </c>
      <c r="D8" s="36" t="s">
        <v>100</v>
      </c>
      <c r="E8" s="36"/>
      <c r="F8" s="36"/>
      <c r="G8" s="36"/>
    </row>
    <row r="9" spans="1:7" ht="29">
      <c r="A9" s="33" t="str">
        <f t="shared" si="0"/>
        <v>With Multi 4 &amp;5, the connection must be selected appropriately</v>
      </c>
      <c r="B9" s="36" t="s">
        <v>80</v>
      </c>
      <c r="C9" s="36" t="s">
        <v>101</v>
      </c>
      <c r="D9" s="36" t="s">
        <v>102</v>
      </c>
      <c r="E9" s="36"/>
      <c r="F9" s="36"/>
      <c r="G9" s="36"/>
    </row>
    <row r="10" spans="1:7">
      <c r="A10" s="33" t="str">
        <f t="shared" si="0"/>
        <v>indoor unit 1</v>
      </c>
      <c r="B10" s="36" t="s">
        <v>135</v>
      </c>
      <c r="C10" s="36" t="s">
        <v>103</v>
      </c>
      <c r="D10" s="36" t="s">
        <v>104</v>
      </c>
      <c r="E10" s="36"/>
      <c r="F10" s="36"/>
      <c r="G10" s="36"/>
    </row>
    <row r="11" spans="1:7">
      <c r="A11" s="33" t="str">
        <f t="shared" si="0"/>
        <v>Checking the max. permissible pipe length:</v>
      </c>
      <c r="B11" s="36" t="s">
        <v>44</v>
      </c>
      <c r="C11" s="36" t="s">
        <v>105</v>
      </c>
      <c r="D11" s="36" t="s">
        <v>141</v>
      </c>
      <c r="E11" s="36"/>
      <c r="F11" s="36"/>
      <c r="G11" s="36"/>
    </row>
    <row r="12" spans="1:7">
      <c r="A12" s="33" t="str">
        <f t="shared" si="0"/>
        <v>Required refill quantity:</v>
      </c>
      <c r="B12" s="36" t="s">
        <v>31</v>
      </c>
      <c r="C12" s="36" t="s">
        <v>106</v>
      </c>
      <c r="D12" s="36" t="s">
        <v>107</v>
      </c>
      <c r="E12" s="36"/>
      <c r="F12" s="36"/>
      <c r="G12" s="36"/>
    </row>
    <row r="13" spans="1:7">
      <c r="A13" s="33" t="str">
        <f t="shared" si="0"/>
        <v>Total amount in the system:</v>
      </c>
      <c r="B13" s="36" t="s">
        <v>32</v>
      </c>
      <c r="C13" s="36" t="s">
        <v>108</v>
      </c>
      <c r="D13" s="36" t="s">
        <v>109</v>
      </c>
      <c r="E13" s="36"/>
      <c r="F13" s="36"/>
      <c r="G13" s="36"/>
    </row>
    <row r="14" spans="1:7" ht="15.5">
      <c r="A14" s="33" t="str">
        <f t="shared" si="0"/>
        <v>Required minimum room volume for the system planned above</v>
      </c>
      <c r="B14" s="27" t="s">
        <v>42</v>
      </c>
      <c r="C14" s="27" t="s">
        <v>138</v>
      </c>
      <c r="D14" s="27" t="s">
        <v>139</v>
      </c>
      <c r="E14" s="36"/>
      <c r="F14" s="36"/>
      <c r="G14" s="36"/>
    </row>
    <row r="15" spans="1:7">
      <c r="A15" s="33" t="str">
        <f t="shared" si="0"/>
        <v>Installation height:</v>
      </c>
      <c r="B15" s="36" t="s">
        <v>35</v>
      </c>
      <c r="C15" s="36" t="s">
        <v>110</v>
      </c>
      <c r="D15" s="36" t="s">
        <v>111</v>
      </c>
      <c r="E15" s="36"/>
      <c r="F15" s="36"/>
      <c r="G15" s="36"/>
    </row>
    <row r="16" spans="1:7">
      <c r="A16" s="33" t="str">
        <f t="shared" si="0"/>
        <v>Filling quantity:</v>
      </c>
      <c r="B16" s="36" t="s">
        <v>36</v>
      </c>
      <c r="C16" s="36" t="s">
        <v>112</v>
      </c>
      <c r="D16" s="36" t="s">
        <v>113</v>
      </c>
      <c r="E16" s="36"/>
      <c r="F16" s="36"/>
      <c r="G16" s="36"/>
    </row>
    <row r="17" spans="1:7">
      <c r="A17" s="33" t="str">
        <f t="shared" si="0"/>
        <v>Required minimum room area:</v>
      </c>
      <c r="B17" s="37" t="s">
        <v>33</v>
      </c>
      <c r="C17" s="37" t="s">
        <v>114</v>
      </c>
      <c r="D17" s="37" t="s">
        <v>115</v>
      </c>
      <c r="E17" s="37"/>
      <c r="F17" s="37"/>
      <c r="G17" s="37"/>
    </row>
    <row r="18" spans="1:7" ht="29">
      <c r="A18" s="33" t="str">
        <f t="shared" si="0"/>
        <v>Calculation of the max. permitted amount of refrigerant in an existing room</v>
      </c>
      <c r="B18" s="37" t="s">
        <v>43</v>
      </c>
      <c r="C18" s="37" t="s">
        <v>116</v>
      </c>
      <c r="D18" s="37" t="s">
        <v>117</v>
      </c>
      <c r="E18" s="37"/>
      <c r="F18" s="37"/>
      <c r="G18" s="37"/>
    </row>
    <row r="19" spans="1:7">
      <c r="A19" s="33" t="str">
        <f t="shared" si="0"/>
        <v>existing space:</v>
      </c>
      <c r="B19" s="36" t="s">
        <v>37</v>
      </c>
      <c r="C19" s="36" t="s">
        <v>118</v>
      </c>
      <c r="D19" s="36" t="s">
        <v>119</v>
      </c>
      <c r="E19" s="36"/>
      <c r="F19" s="36"/>
      <c r="G19" s="36"/>
    </row>
    <row r="20" spans="1:7">
      <c r="A20" s="33" t="str">
        <f t="shared" si="0"/>
        <v>max. total refrigerant charge:</v>
      </c>
      <c r="B20" s="36" t="s">
        <v>34</v>
      </c>
      <c r="C20" s="36" t="s">
        <v>120</v>
      </c>
      <c r="D20" s="36" t="s">
        <v>121</v>
      </c>
      <c r="E20" s="36"/>
      <c r="F20" s="36"/>
      <c r="G20" s="36"/>
    </row>
    <row r="21" spans="1:7">
      <c r="A21" s="33" t="str">
        <f t="shared" si="0"/>
        <v>The above calculations are based on DIN EN378-1:2018-04:</v>
      </c>
      <c r="B21" s="38" t="s">
        <v>47</v>
      </c>
      <c r="C21" s="38" t="s">
        <v>122</v>
      </c>
      <c r="D21" s="38" t="s">
        <v>123</v>
      </c>
      <c r="E21" s="38"/>
      <c r="F21" s="38"/>
      <c r="G21" s="38"/>
    </row>
    <row r="22" spans="1:7">
      <c r="A22" s="33" t="str">
        <f t="shared" si="0"/>
        <v>'- Toxicity/flammability class R32 : A2L</v>
      </c>
      <c r="B22" s="39" t="s">
        <v>46</v>
      </c>
      <c r="C22" s="39" t="s">
        <v>124</v>
      </c>
      <c r="D22" s="39" t="s">
        <v>125</v>
      </c>
      <c r="E22" s="39"/>
      <c r="F22" s="39"/>
      <c r="G22" s="39"/>
    </row>
    <row r="23" spans="1:7">
      <c r="A23" s="33" t="str">
        <f t="shared" si="0"/>
        <v>- The indoor unit is mounted in a general access area (A).</v>
      </c>
      <c r="B23" s="39" t="s">
        <v>38</v>
      </c>
      <c r="C23" s="39" t="s">
        <v>126</v>
      </c>
      <c r="D23" s="39" t="s">
        <v>127</v>
      </c>
      <c r="E23" s="39"/>
      <c r="F23" s="39"/>
      <c r="G23" s="39"/>
    </row>
    <row r="24" spans="1:7" ht="26">
      <c r="A24" s="33" t="str">
        <f t="shared" si="0"/>
        <v>- Outdoor unit location: Class II - compressors in engine room or outdoors</v>
      </c>
      <c r="B24" s="39" t="s">
        <v>40</v>
      </c>
      <c r="C24" s="39" t="s">
        <v>128</v>
      </c>
      <c r="D24" s="39" t="s">
        <v>129</v>
      </c>
      <c r="E24" s="39"/>
      <c r="F24" s="39"/>
      <c r="G24" s="39"/>
    </row>
    <row r="25" spans="1:7">
      <c r="A25" s="33" t="str">
        <f t="shared" si="0"/>
        <v>'- Plant classification: direct releasing plant</v>
      </c>
      <c r="B25" s="39" t="s">
        <v>39</v>
      </c>
      <c r="C25" s="39" t="s">
        <v>137</v>
      </c>
      <c r="D25" s="39" t="s">
        <v>136</v>
      </c>
      <c r="E25" s="39"/>
      <c r="F25" s="39"/>
      <c r="G25" s="39"/>
    </row>
    <row r="26" spans="1:7">
      <c r="A26" s="33" t="str">
        <f t="shared" si="0"/>
        <v>Notice:</v>
      </c>
      <c r="B26" s="38" t="s">
        <v>41</v>
      </c>
      <c r="C26" s="38" t="s">
        <v>130</v>
      </c>
      <c r="D26" s="38" t="s">
        <v>130</v>
      </c>
      <c r="E26" s="38"/>
      <c r="F26" s="38"/>
      <c r="G26" s="38"/>
    </row>
    <row r="27" spans="1:7" ht="65">
      <c r="A27" s="33" t="str">
        <f t="shared" si="0"/>
        <v>If the existing room area is smaller than the calculated minimum room area (Amin), you can use DIN EN 378-1, C.3 to check which additional measures such as additional ventilation, extraction of the leaked refrigerant, etc. can be taken to enable a smaller room area.</v>
      </c>
      <c r="B27" s="38" t="s">
        <v>131</v>
      </c>
      <c r="C27" s="38" t="s">
        <v>132</v>
      </c>
      <c r="D27" s="38" t="s">
        <v>133</v>
      </c>
      <c r="E27" s="38"/>
      <c r="F27" s="38"/>
      <c r="G27" s="38"/>
    </row>
    <row r="28" spans="1:7">
      <c r="A28" s="33" t="str">
        <f t="shared" si="0"/>
        <v>OK</v>
      </c>
      <c r="B28" s="40" t="s">
        <v>28</v>
      </c>
      <c r="C28" s="40" t="s">
        <v>28</v>
      </c>
      <c r="D28" s="40" t="s">
        <v>28</v>
      </c>
      <c r="E28" s="40"/>
      <c r="F28" s="40"/>
      <c r="G28" s="40"/>
    </row>
    <row r="29" spans="1:7">
      <c r="A29" s="33" t="str">
        <f t="shared" si="0"/>
        <v>max. pipe length exceeded</v>
      </c>
      <c r="B29" s="40" t="s">
        <v>27</v>
      </c>
      <c r="C29" s="40" t="s">
        <v>134</v>
      </c>
      <c r="D29" s="40" t="s">
        <v>140</v>
      </c>
      <c r="E29" s="40"/>
      <c r="F29" s="40"/>
      <c r="G29" s="40"/>
    </row>
  </sheetData>
  <pageMargins left="0.7" right="0.7" top="0.78740157499999996" bottom="0.78740157499999996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R32</vt:lpstr>
      <vt:lpstr>Tabelle2</vt:lpstr>
      <vt:lpstr>Tabelle3</vt:lpstr>
      <vt:lpstr>language</vt:lpstr>
      <vt:lpstr>'R32'!Druckbereich</vt:lpstr>
    </vt:vector>
  </TitlesOfParts>
  <Company>Systemair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Kerner</dc:creator>
  <cp:lastModifiedBy>Thomas Kerner</cp:lastModifiedBy>
  <cp:lastPrinted>2021-02-02T06:49:54Z</cp:lastPrinted>
  <dcterms:created xsi:type="dcterms:W3CDTF">2021-01-28T06:41:10Z</dcterms:created>
  <dcterms:modified xsi:type="dcterms:W3CDTF">2022-03-02T07:58:19Z</dcterms:modified>
</cp:coreProperties>
</file>